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eki-s\Desktop\"/>
    </mc:Choice>
  </mc:AlternateContent>
  <xr:revisionPtr revIDLastSave="0" documentId="13_ncr:1_{EF2F8EB4-45C9-42C5-B167-6FBE6975FBF0}" xr6:coauthVersionLast="47" xr6:coauthVersionMax="47" xr10:uidLastSave="{00000000-0000-0000-0000-000000000000}"/>
  <bookViews>
    <workbookView xWindow="-120" yWindow="-120" windowWidth="29040" windowHeight="15840" xr2:uid="{FD4AAF38-8FC9-4A00-9C81-1DC603D9C8BC}"/>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7" l="1"/>
  <c r="M10" i="11"/>
  <c r="M13" i="11" s="1"/>
  <c r="C14" i="20"/>
  <c r="D9" i="16"/>
  <c r="D10" i="16" s="1"/>
  <c r="D9" i="18"/>
  <c r="D10" i="18" s="1"/>
  <c r="D9" i="17"/>
  <c r="D10" i="17" s="1"/>
  <c r="H14" i="21"/>
  <c r="H19" i="20"/>
  <c r="H18" i="20"/>
  <c r="H17" i="20"/>
  <c r="H16" i="20"/>
  <c r="H15" i="20"/>
  <c r="H14" i="20"/>
  <c r="L21" i="18"/>
  <c r="L20" i="18"/>
  <c r="L19" i="18"/>
  <c r="J21" i="18"/>
  <c r="J20" i="18"/>
  <c r="J19" i="18"/>
  <c r="J18" i="18"/>
  <c r="L18" i="18" s="1"/>
  <c r="J16" i="18"/>
  <c r="J15" i="18"/>
  <c r="J14" i="18"/>
  <c r="J13" i="18"/>
  <c r="J12" i="18"/>
  <c r="I9" i="17" l="1"/>
  <c r="I10" i="17" s="1"/>
  <c r="E9" i="16"/>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Q23" i="16" s="1"/>
  <c r="J22" i="16"/>
  <c r="O22" i="16" s="1"/>
  <c r="Q22" i="16" s="1"/>
  <c r="J21" i="16"/>
  <c r="O21" i="16" s="1"/>
  <c r="Q21" i="16" s="1"/>
  <c r="P25" i="16"/>
  <c r="P23" i="16"/>
  <c r="P22" i="16"/>
  <c r="P21" i="16"/>
  <c r="C5" i="16"/>
  <c r="C4" i="16"/>
  <c r="H10" i="18" l="1"/>
  <c r="I9" i="18"/>
  <c r="I10" i="18" s="1"/>
  <c r="H10" i="17"/>
  <c r="H10" i="16"/>
  <c r="I5" i="17"/>
  <c r="N21" i="23" s="1"/>
  <c r="O16" i="16"/>
  <c r="Q16" i="16" s="1"/>
  <c r="K13" i="18"/>
  <c r="L13" i="18" s="1"/>
  <c r="K14" i="18"/>
  <c r="L14" i="18" s="1"/>
  <c r="K16" i="18"/>
  <c r="L16" i="18" s="1"/>
  <c r="K12" i="18"/>
  <c r="L12" i="18" s="1"/>
  <c r="N21" i="18" l="1"/>
  <c r="D28" i="11" s="1"/>
  <c r="AE17" i="23" s="1"/>
  <c r="X6" i="23"/>
  <c r="W6" i="23" s="1"/>
  <c r="X7" i="23"/>
  <c r="W7" i="23" s="1"/>
  <c r="T10" i="23"/>
  <c r="S10" i="23" s="1"/>
  <c r="AB7" i="23"/>
  <c r="AA7" i="23" s="1"/>
  <c r="T7" i="23"/>
  <c r="S7" i="23" s="1"/>
  <c r="AB6" i="23"/>
  <c r="AA6" i="23" s="1"/>
  <c r="X10" i="23"/>
  <c r="W10" i="23" s="1"/>
  <c r="AB18" i="23"/>
  <c r="AA18" i="23" s="1"/>
  <c r="X9" i="23"/>
  <c r="W9" i="23" s="1"/>
  <c r="T9" i="23"/>
  <c r="S9" i="23" s="1"/>
  <c r="T6" i="23"/>
  <c r="S6" i="23" s="1"/>
  <c r="AB8" i="23"/>
  <c r="AA8" i="23" s="1"/>
  <c r="AB9" i="23"/>
  <c r="AA9" i="23" s="1"/>
  <c r="AB10" i="23"/>
  <c r="AA10" i="23" s="1"/>
  <c r="T8" i="23"/>
  <c r="S8" i="23" s="1"/>
  <c r="X8" i="23"/>
  <c r="W8"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Q23" i="23" l="1"/>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E7" authorId="0" shapeId="0" xr:uid="{D112F518-1F49-4E0C-9D2D-A72BF0AEB866}">
      <text>
        <r>
          <rPr>
            <sz val="9"/>
            <color indexed="81"/>
            <rFont val="MS P ゴシック"/>
            <family val="3"/>
            <charset val="128"/>
          </rPr>
          <t>「yyyy/m/d」で入力してください。</t>
        </r>
      </text>
    </comment>
    <comment ref="I7" authorId="0" shapeId="0" xr:uid="{D117ADD5-73D2-4BC2-A08E-322D55349BB8}">
      <text>
        <r>
          <rPr>
            <sz val="9"/>
            <color indexed="81"/>
            <rFont val="MS P ゴシック"/>
            <family val="3"/>
            <charset val="128"/>
          </rPr>
          <t>「yyyy/m/d」で入力してください。</t>
        </r>
      </text>
    </comment>
    <comment ref="M7" authorId="0" shapeId="0" xr:uid="{D7045F41-1D0F-452D-81CF-BEE7AE69DDD5}">
      <text>
        <r>
          <rPr>
            <sz val="9"/>
            <color indexed="81"/>
            <rFont val="MS P ゴシック"/>
            <family val="3"/>
            <charset val="128"/>
          </rPr>
          <t>年月を選択してください。</t>
        </r>
      </text>
    </comment>
    <comment ref="I10" authorId="0" shapeId="0" xr:uid="{A4FFCE63-A6AE-4B0B-B918-01BF10644289}">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xr:uid="{A045F8C6-0E41-46BB-BE83-ADD6CFB03203}">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渡邊恭男</author>
  </authors>
  <commentList>
    <comment ref="AD9" authorId="0" shapeId="0" xr:uid="{6E4237C5-B669-4CEB-AAE7-075908D56025}">
      <text>
        <r>
          <rPr>
            <sz val="9"/>
            <color indexed="81"/>
            <rFont val="MS P ゴシック"/>
            <family val="3"/>
            <charset val="128"/>
          </rPr>
          <t>850万円以下の場合「0」が表示される設定</t>
        </r>
      </text>
    </comment>
    <comment ref="AD16" authorId="0" shapeId="0" xr:uid="{F0700E5D-6450-4F51-A1BE-47E068E058EA}">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<sst xmlns="http://schemas.openxmlformats.org/spreadsheetml/2006/main" count="263" uniqueCount="174">
  <si>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</si>
  <si>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</si>
  <si>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</si>
  <si>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</si>
  <si>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</si>
  <si>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</si>
  <si>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</si>
  <si>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</si>
  <si>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</si>
  <si>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</si>
  <si>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</si>
  <si>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</si>
  <si>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</si>
  <si>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</si>
  <si>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</si>
  <si>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</si>
  <si>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</si>
  <si>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</si>
  <si>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</si>
  <si>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</si>
  <si>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</si>
  <si>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</si>
  <si>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</si>
  <si>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</si>
  <si>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</si>
  <si>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</si>
  <si>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</si>
  <si>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</si>
  <si>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</si>
  <si>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</si>
  <si>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</si>
  <si>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</si>
  <si>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</si>
  <si>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</si>
  <si>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</si>
  <si>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</si>
  <si>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</si>
  <si>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</si>
  <si>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</si>
  <si>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</si>
  <si>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</si>
  <si>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</si>
  <si>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</si>
  <si>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</si>
  <si>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</si>
  <si>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</si>
  <si>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</si>
  <si>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</si>
  <si>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</si>
  <si>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</si>
  <si>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</si>
  <si>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</si>
  <si>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</si>
  <si>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</si>
  <si>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</si>
  <si>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</si>
  <si>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</si>
  <si>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</si>
  <si>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</si>
  <si>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</si>
  <si>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</si>
  <si>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</si>
  <si>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</si>
  <si>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</si>
  <si>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</si>
  <si>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</si>
  <si>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</si>
  <si>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</si>
  <si>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</si>
  <si>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</si>
  <si>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</si>
  <si>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</si>
  <si>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</si>
  <si>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</si>
  <si>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</si>
  <si>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</si>
  <si>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</si>
  <si>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</si>
  <si>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</si>
  <si>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</si>
  <si>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</si>
  <si>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</si>
  <si>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</si>
  <si>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</si>
  <si>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</si>
  <si>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</si>
  <si>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</si>
  <si>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</si>
  <si>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</si>
  <si>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</si>
  <si>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</si>
  <si>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</si>
  <si>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</si>
  <si>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</si>
  <si>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</si>
  <si>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</si>
  <si>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</si>
  <si>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</si>
  <si>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</si>
  <si>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</si>
  <si>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</si>
  <si>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</si>
  <si>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</si>
  <si>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</si>
  <si>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</si>
  <si>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</si>
  <si>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</si>
  <si>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</si>
  <si>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</si>
  <si>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</si>
  <si>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</si>
  <si>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</si>
  <si>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</si>
  <si>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</si>
  <si>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</si>
  <si>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</si>
  <si>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</si>
  <si>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</si>
  <si>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</si>
  <si>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</si>
  <si>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</si>
  <si>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</si>
  <si>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</si>
  <si>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</si>
  <si>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</si>
  <si>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</si>
  <si>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</si>
  <si>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</si>
  <si>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</si>
  <si>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</si>
  <si>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</si>
  <si>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</si>
  <si>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</si>
  <si>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</si>
  <si>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</si>
  <si>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</si>
  <si>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</si>
  <si>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</si>
  <si>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</si>
  <si>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</si>
  <si>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</si>
  <si>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</si>
  <si>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</si>
  <si>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</si>
  <si>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</si>
  <si>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</si>
  <si>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</si>
  <si>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</si>
  <si>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</si>
  <si>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</si>
  <si>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</si>
  <si>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</si>
  <si>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</si>
  <si>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</si>
  <si>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</si>
  <si>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</si>
  <si>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</si>
  <si>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</si>
  <si>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</si>
  <si>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</si>
  <si>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</si>
  <si>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t>○高等学校等就学支援金（家計急変支援制度）における年収推計シート（総表）</t>
    <rPh sb="16" eb="18">
      <t>シエン</t>
    </rPh>
    <rPh sb="18" eb="20">
      <t>セイド</t>
    </rPh>
    <rPh sb="27" eb="29">
      <t>スイケイ</t>
    </rPh>
    <rPh sb="33" eb="34">
      <t>ソウ</t>
    </rPh>
    <rPh sb="34" eb="35">
      <t>ヒョウ</t>
    </rPh>
    <phoneticPr fontId="1"/>
  </si>
  <si>
    <t>○高等学校等就学支援金（家計急変支援制度）における年収推計シート（別紙１）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</si>
  <si>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</si>
  <si>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0" eb="32">
      <t>ベッシ</t>
    </rPh>
    <phoneticPr fontId="1"/>
  </si>
  <si>
    <t>○高等学校等就学支援金（家計急変支援制度）における年収推計シート（別紙３-１）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</si>
  <si>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</si>
  <si>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</si>
  <si>
    <t>2025(令和7)年7月～2026(令和8)年6月支給分で適用する基準日です。</t>
    <phoneticPr fontId="1"/>
  </si>
  <si>
    <t>2027(令和9)年7月～2028(令和10)年6月支給分で適用する基準日です。</t>
    <phoneticPr fontId="1"/>
  </si>
  <si>
    <t>2028(令和10)年7月～2029(令和11)年6月支給分で適用する基準日です。</t>
    <phoneticPr fontId="1"/>
  </si>
  <si>
    <t>2029(令和11)年7月～2030(令和12)年6月支給分で適用する基準日です。</t>
    <phoneticPr fontId="1"/>
  </si>
  <si>
    <t>2030(令和12)年7月～2031(令和13)年6月支給分で適用する基準日です。</t>
    <phoneticPr fontId="1"/>
  </si>
  <si>
    <t>2026(令和8)年7月～2027(令和9)年6月支給分で適用する基準日です。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</si>
</sst>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xr:uid="{0E8C943F-E08F-4D76-ABF1-13A7D8C05301}"/>
    <cellStyle name="標準" xfId="0" builtinId="0"/>
    <cellStyle name="標準 2" xfId="2" xr:uid="{2077AC68-C3D9-48B0-A391-40A504DB4EBF}"/>
    <cellStyle name="標準 3" xfId="3" xr:uid="{EC7234C7-5E62-40DA-99C2-A6458D2179CA}"/>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E508-9906-44C1-931A-8014C43CD267}">
  <sheetPr codeName="Sheet1">
    <tabColor rgb="FFCCECFF"/>
    <pageSetUpPr fitToPage="1"/>
  </sheetPr>
  <dimension ref="B3:Q29"/>
  <sheetViews>
    <sheetView showGridLines="0" tabSelected="1" view="pageBreakPreview" zoomScaleNormal="100" zoomScaleSheetLayoutView="100" workbookViewId="0">
      <selection activeCell="W26" sqref="W26"/>
    </sheetView>
  </sheetViews>
  <sheetFormatPr defaultColWidth="8.75" defaultRowHeight="18.75"/>
  <cols>
    <col min="1" max="1" width="8.75" style="10"/>
    <col min="2" max="3" width="1.5" style="10" customWidth="1"/>
    <col min="4" max="4" width="21" style="10" customWidth="1"/>
    <col min="5" max="5" width="8.75" style="10"/>
    <col min="6" max="6" width="21" style="10" customWidth="1"/>
    <col min="7" max="7" width="8.75" style="10"/>
    <col min="8" max="8" width="21" style="10" customWidth="1"/>
    <col min="9" max="9" width="8.75" style="10"/>
    <col min="10" max="10" width="21" style="10" customWidth="1"/>
    <col min="11" max="11" width="1.375" style="10" customWidth="1"/>
    <col min="12" max="12" width="7.25" style="10" customWidth="1"/>
    <col min="13" max="13" width="21" style="10" customWidth="1"/>
    <col min="14" max="15" width="1.5" style="10" customWidth="1"/>
    <col min="16" max="16384" width="8.75" style="10"/>
  </cols>
  <sheetData>
    <row r="3" spans="2:17" ht="57.6" customHeight="1">
      <c r="B3" s="175" t="s">
        <v>161</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v>45636</v>
      </c>
      <c r="F7" s="181"/>
      <c r="H7" s="178" t="s">
        <v>35</v>
      </c>
      <c r="I7" s="180">
        <v>27395</v>
      </c>
      <c r="J7" s="181"/>
      <c r="K7" s="105"/>
      <c r="M7" s="131">
        <v>45658</v>
      </c>
      <c r="Q7" s="117"/>
    </row>
    <row r="8" spans="2:17" ht="21.6" customHeight="1" thickBot="1">
      <c r="D8" s="179"/>
      <c r="E8" s="182"/>
      <c r="F8" s="183"/>
      <c r="H8" s="179"/>
      <c r="I8" s="182"/>
      <c r="J8" s="183"/>
      <c r="K8" s="105"/>
      <c r="M8" s="132">
        <v>45717</v>
      </c>
    </row>
    <row r="9" spans="2:17" ht="7.15" customHeight="1" thickBot="1">
      <c r="D9" s="12"/>
      <c r="E9" s="105"/>
      <c r="F9" s="105"/>
      <c r="H9" s="12"/>
      <c r="I9" s="105"/>
      <c r="J9" s="105"/>
      <c r="K9" s="105"/>
      <c r="M9" s="106"/>
    </row>
    <row r="10" spans="2:17" ht="20.45" customHeight="1">
      <c r="D10" s="169" t="s">
        <v>160</v>
      </c>
      <c r="E10" s="170"/>
      <c r="F10" s="170"/>
      <c r="G10" s="170"/>
      <c r="H10" s="171"/>
      <c r="I10" s="165"/>
      <c r="J10" s="166"/>
      <c r="M10" s="163">
        <f>IFERROR(IF(DATEDIF(M7,M8,"M")+1&gt;6,"Error !!",DATEDIF(M7,M8,"M")+1),"Error !!")</f>
        <v>3</v>
      </c>
    </row>
    <row r="11" spans="2:17" ht="20.45" customHeight="1" thickBot="1">
      <c r="D11" s="172"/>
      <c r="E11" s="173"/>
      <c r="F11" s="173"/>
      <c r="G11" s="173"/>
      <c r="H11" s="174"/>
      <c r="I11" s="167"/>
      <c r="J11" s="168"/>
      <c r="M11" s="164"/>
    </row>
    <row r="12" spans="2:17" ht="9" customHeight="1" thickBot="1">
      <c r="M12" s="107"/>
    </row>
    <row r="13" spans="2:17" ht="43.15"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15"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4800000</v>
      </c>
      <c r="F18" s="108">
        <f>'（削除不可）給与・年金所得計算'!G22</f>
        <v>1400000</v>
      </c>
      <c r="H18" s="108">
        <f>'（削除不可）給与・年金所得計算'!G18</f>
        <v>3400000</v>
      </c>
      <c r="J18" s="108">
        <f>'（削除不可）給与・年金所得計算'!AG11</f>
        <v>100000</v>
      </c>
      <c r="K18" s="109"/>
      <c r="M18" s="108">
        <f>H18-J18</f>
        <v>3300000</v>
      </c>
    </row>
    <row r="19" spans="3:15">
      <c r="M19" s="110" t="s">
        <v>3</v>
      </c>
    </row>
    <row r="20" spans="3:15">
      <c r="C20" s="10" t="s">
        <v>39</v>
      </c>
    </row>
    <row r="21" spans="3:15" ht="7.15" customHeight="1" thickBot="1"/>
    <row r="22" spans="3:15" ht="39" customHeight="1" thickBot="1">
      <c r="D22" s="11" t="s">
        <v>37</v>
      </c>
      <c r="E22" s="13"/>
      <c r="F22" s="11" t="s">
        <v>40</v>
      </c>
      <c r="G22" s="13"/>
      <c r="H22" s="11" t="s">
        <v>42</v>
      </c>
      <c r="L22" s="111" t="s">
        <v>121</v>
      </c>
      <c r="M22" s="112" t="s">
        <v>120</v>
      </c>
    </row>
    <row r="23" spans="3:15" ht="39" customHeight="1" thickBot="1">
      <c r="D23" s="108">
        <f>別紙2!O18</f>
        <v>1200000</v>
      </c>
      <c r="F23" s="108">
        <f>'（削除不可）給与・年金所得計算'!T23</f>
        <v>600000</v>
      </c>
      <c r="H23" s="108">
        <f>'（削除不可）給与・年金所得計算'!S23</f>
        <v>600000</v>
      </c>
      <c r="M23" s="108">
        <f>'（削除不可）給与・年金所得計算'!AE18</f>
        <v>4360000</v>
      </c>
      <c r="O23" s="113"/>
    </row>
    <row r="24" spans="3:15">
      <c r="H24" s="110" t="s">
        <v>3</v>
      </c>
      <c r="O24" s="114"/>
    </row>
    <row r="25" spans="3:15">
      <c r="C25" s="10" t="s">
        <v>87</v>
      </c>
    </row>
    <row r="26" spans="3:15" ht="7.15" customHeight="1" thickBot="1"/>
    <row r="27" spans="3:15" ht="39" customHeight="1" thickBot="1">
      <c r="D27" s="11" t="s">
        <v>38</v>
      </c>
      <c r="M27" s="11" t="s">
        <v>64</v>
      </c>
    </row>
    <row r="28" spans="3:15" ht="39" customHeight="1" thickBot="1">
      <c r="D28" s="108">
        <f>別紙3!N21</f>
        <v>960000</v>
      </c>
      <c r="K28" s="114"/>
      <c r="L28" s="115" t="s">
        <v>58</v>
      </c>
      <c r="M28" s="108">
        <f>SUM(M18,H23,D28)</f>
        <v>4860000</v>
      </c>
      <c r="O28" s="113"/>
    </row>
    <row r="29" spans="3:15">
      <c r="D29" s="110" t="s">
        <v>3</v>
      </c>
      <c r="K29" s="114"/>
      <c r="L29" s="116"/>
      <c r="M29" s="114"/>
      <c r="O29" s="114"/>
    </row>
  </sheetData>
  <sheetProtection algorithmName="SHA-512" hashValue="MJK7FLWAH6iCOurT5KV7MGKWKmA1+Uz/+7A+eJk/+ChkYrXyWeOUoy8QxcffwgBWbf4H3UxELOxluEfISpHy/w==" saltValue="KhE0tGiIhq9BhXYf/Yo45w=="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xr:uid="{7043B78C-BFA6-4772-BD17-85681EA0D1CF}">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xr:uid="{FFCA708C-C7E7-44F8-93E7-95A91F5678FC}">
      <formula1>"✓"</formula1>
    </dataValidation>
  </dataValidations>
  <printOptions horizontalCentered="1"/>
  <pageMargins left="0.70866141732283472" right="0.70866141732283472" top="0.74803149606299213" bottom="0.74803149606299213" header="0.31496062992125984" footer="0.31496062992125984"/>
  <pageSetup paperSize="9" scale="77"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16DB66-2A83-4335-AC2F-F84EE7458222}">
          <x14:formula1>
            <xm:f>'（削除不可）給与・年金所得計算'!$A$32:$A$120</xm:f>
          </x14:formula1>
          <xm:sqref>M7</xm:sqref>
        </x14:dataValidation>
        <x14:dataValidation type="list" allowBlank="1" showInputMessage="1" showErrorMessage="1" xr:uid="{D1BC4FA2-78C9-4FEE-BAC4-FA008B57399E}">
          <x14:formula1>
            <xm:f>'（削除不可）給与・年金所得計算'!$A$36:$A$120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CB8C-2040-4F50-AC14-EEEFA6F6D9AD}">
  <sheetPr codeName="Sheet2">
    <tabColor rgb="FFCCECFF"/>
    <pageSetUpPr fitToPage="1"/>
  </sheetPr>
  <dimension ref="C1:T26"/>
  <sheetViews>
    <sheetView showGridLines="0" view="pageBreakPreview" zoomScaleNormal="100" zoomScaleSheetLayoutView="100" workbookViewId="0">
      <selection activeCell="W26" sqref="W26"/>
    </sheetView>
  </sheetViews>
  <sheetFormatPr defaultColWidth="8.75" defaultRowHeight="18.75"/>
  <cols>
    <col min="1" max="1" width="8.75" style="67"/>
    <col min="2" max="2" width="1.75" style="67" customWidth="1"/>
    <col min="3" max="3" width="38" style="67" customWidth="1"/>
    <col min="4" max="10" width="14.75" style="67" customWidth="1"/>
    <col min="11" max="11" width="2.5" style="67" customWidth="1"/>
    <col min="12" max="13" width="4.75" style="67" customWidth="1"/>
    <col min="14" max="14" width="3.25" style="67" customWidth="1"/>
    <col min="15" max="15" width="14.75" style="67" customWidth="1"/>
    <col min="16" max="16" width="8.75" style="67"/>
    <col min="17" max="17" width="14.75" style="67" customWidth="1"/>
    <col min="18" max="18" width="8.75" style="67"/>
    <col min="19" max="19" width="14.75" style="67" customWidth="1"/>
    <col min="20" max="20" width="1.75" style="67" customWidth="1"/>
    <col min="21" max="21" width="8.75" style="67"/>
    <col min="22" max="22" width="11.5" style="67" customWidth="1"/>
    <col min="23" max="23" width="8.75" style="67"/>
    <col min="24" max="24" width="9.375" style="67" bestFit="1" customWidth="1"/>
    <col min="25" max="27" width="8.75" style="67"/>
    <col min="28" max="28" width="9.875" style="67" bestFit="1" customWidth="1"/>
    <col min="29" max="16384" width="8.75" style="67"/>
  </cols>
  <sheetData>
    <row r="1" spans="3:17" ht="30">
      <c r="C1" s="66" t="s">
        <v>162</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3</v>
      </c>
      <c r="J4" s="149" t="s">
        <v>5</v>
      </c>
      <c r="K4" s="84"/>
      <c r="L4" s="68"/>
      <c r="M4" s="68"/>
      <c r="N4" s="68"/>
      <c r="O4" s="68"/>
      <c r="P4" s="68"/>
      <c r="Q4" s="68"/>
    </row>
    <row r="5" spans="3:17" ht="39" customHeight="1">
      <c r="C5" s="145" t="str">
        <f>総表!H6&amp;"："&amp;総表!I6</f>
        <v>家計急変者氏名：〇〇　〇〇</v>
      </c>
      <c r="D5" s="146" t="s">
        <v>54</v>
      </c>
      <c r="E5" s="147">
        <f>IF(総表!I7="","",総表!I7)</f>
        <v>27395</v>
      </c>
      <c r="F5" s="146" t="s">
        <v>152</v>
      </c>
      <c r="G5" s="147">
        <f>総表!E7</f>
        <v>45636</v>
      </c>
      <c r="H5" s="68"/>
      <c r="I5" s="75"/>
      <c r="J5" s="75"/>
      <c r="K5" s="68"/>
      <c r="L5" s="68"/>
      <c r="M5" s="68"/>
      <c r="N5" s="68"/>
      <c r="O5" s="68"/>
      <c r="P5" s="68"/>
      <c r="Q5" s="68"/>
    </row>
    <row r="6" spans="3:17" ht="12" customHeight="1">
      <c r="E6" s="76"/>
    </row>
    <row r="7" spans="3:17" ht="12" customHeight="1">
      <c r="E7" s="76"/>
    </row>
    <row r="8" spans="3:17" ht="24">
      <c r="C8" s="68" t="s">
        <v>85</v>
      </c>
      <c r="J8" s="77" t="s">
        <v>57</v>
      </c>
    </row>
    <row r="9" spans="3:17" ht="25.15" customHeight="1">
      <c r="C9" s="184" t="s">
        <v>4</v>
      </c>
      <c r="D9" s="150">
        <f>総表!M7</f>
        <v>45658</v>
      </c>
      <c r="E9" s="150">
        <f>IF(総表!M10&gt;=2,EDATE(D9,1),"")</f>
        <v>45689</v>
      </c>
      <c r="F9" s="150">
        <f>IF(総表!M10&gt;=3,EDATE(E9,1),"")</f>
        <v>45717</v>
      </c>
      <c r="G9" s="150" t="str">
        <f>IF(総表!M10&gt;=4,EDATE(F9,1),"")</f>
        <v/>
      </c>
      <c r="H9" s="150" t="str">
        <f>IF(総表!M10&gt;=5,EDATE(G9,1),"")</f>
        <v/>
      </c>
      <c r="I9" s="150" t="str">
        <f>IF(総表!M10=6,EDATE(H9,1),"")</f>
        <v/>
      </c>
      <c r="J9" s="124" t="s">
        <v>51</v>
      </c>
    </row>
    <row r="10" spans="3:17" ht="25.15" customHeight="1">
      <c r="C10" s="185"/>
      <c r="D10" s="151">
        <f>D9</f>
        <v>45658</v>
      </c>
      <c r="E10" s="151">
        <f t="shared" ref="E10:I10" si="0">E9</f>
        <v>45689</v>
      </c>
      <c r="F10" s="151">
        <f t="shared" si="0"/>
        <v>45717</v>
      </c>
      <c r="G10" s="151" t="str">
        <f>G9</f>
        <v/>
      </c>
      <c r="H10" s="151" t="str">
        <f t="shared" si="0"/>
        <v/>
      </c>
      <c r="I10" s="151" t="str">
        <f t="shared" si="0"/>
        <v/>
      </c>
      <c r="J10" s="125" t="s">
        <v>52</v>
      </c>
    </row>
    <row r="11" spans="3:17" ht="24">
      <c r="C11" s="123" t="s">
        <v>131</v>
      </c>
      <c r="D11" s="126"/>
      <c r="E11" s="126"/>
      <c r="F11" s="126"/>
      <c r="G11" s="126"/>
      <c r="H11" s="126"/>
      <c r="I11" s="126"/>
      <c r="J11" s="126"/>
      <c r="K11" s="79"/>
      <c r="L11" s="79"/>
      <c r="M11" s="79"/>
    </row>
    <row r="12" spans="3:17" ht="50.45" customHeight="1">
      <c r="C12" s="133" t="s">
        <v>132</v>
      </c>
      <c r="D12" s="134">
        <v>100000</v>
      </c>
      <c r="E12" s="134">
        <v>100000</v>
      </c>
      <c r="F12" s="134">
        <v>100000</v>
      </c>
      <c r="G12" s="134"/>
      <c r="H12" s="134"/>
      <c r="I12" s="134"/>
      <c r="J12" s="85">
        <f>SUM(D12:I12)</f>
        <v>300000</v>
      </c>
      <c r="K12" s="79"/>
      <c r="L12" s="79"/>
      <c r="M12" s="79"/>
    </row>
    <row r="13" spans="3:17" ht="50.45" customHeight="1">
      <c r="C13" s="133" t="s">
        <v>45</v>
      </c>
      <c r="D13" s="134"/>
      <c r="E13" s="134">
        <v>100000</v>
      </c>
      <c r="F13" s="134">
        <v>100000</v>
      </c>
      <c r="G13" s="134"/>
      <c r="H13" s="134"/>
      <c r="I13" s="134"/>
      <c r="J13" s="85">
        <f>SUM(D13:I13)</f>
        <v>200000</v>
      </c>
      <c r="K13" s="79"/>
      <c r="L13" s="79"/>
      <c r="M13" s="79"/>
      <c r="P13" s="86"/>
    </row>
    <row r="14" spans="3:17" ht="50.45" customHeight="1">
      <c r="C14" s="133" t="s">
        <v>44</v>
      </c>
      <c r="D14" s="134">
        <v>150000</v>
      </c>
      <c r="E14" s="134">
        <v>150000</v>
      </c>
      <c r="F14" s="134">
        <v>150000</v>
      </c>
      <c r="G14" s="134"/>
      <c r="H14" s="134"/>
      <c r="I14" s="134"/>
      <c r="J14" s="85">
        <f>SUM(D14:I14)</f>
        <v>450000</v>
      </c>
      <c r="K14" s="79"/>
      <c r="L14" s="79"/>
      <c r="M14" s="79"/>
      <c r="O14" s="87"/>
      <c r="P14" s="88"/>
      <c r="Q14" s="87"/>
    </row>
    <row r="15" spans="3:17" ht="50.45" customHeight="1" thickBot="1">
      <c r="C15" s="133" t="s">
        <v>46</v>
      </c>
      <c r="D15" s="134"/>
      <c r="E15" s="134"/>
      <c r="F15" s="134"/>
      <c r="G15" s="134"/>
      <c r="H15" s="134"/>
      <c r="I15" s="134"/>
      <c r="J15" s="85">
        <f>SUM(D15:I15)</f>
        <v>0</v>
      </c>
      <c r="K15" s="79"/>
      <c r="L15" s="79"/>
      <c r="M15" s="79"/>
      <c r="O15" s="127" t="s">
        <v>50</v>
      </c>
      <c r="P15" s="88"/>
      <c r="Q15" s="127" t="s">
        <v>53</v>
      </c>
    </row>
    <row r="16" spans="3:17" ht="50.45" customHeight="1" thickBot="1">
      <c r="C16" s="133" t="s">
        <v>59</v>
      </c>
      <c r="D16" s="134"/>
      <c r="E16" s="134"/>
      <c r="F16" s="134"/>
      <c r="G16" s="134"/>
      <c r="H16" s="134"/>
      <c r="I16" s="134"/>
      <c r="J16" s="85">
        <f>SUM(D16:I16)</f>
        <v>0</v>
      </c>
      <c r="K16" s="79"/>
      <c r="L16" s="79"/>
      <c r="M16" s="79"/>
      <c r="O16" s="89">
        <f>SUM(J12:J16)</f>
        <v>950000</v>
      </c>
      <c r="P16" s="90">
        <f>12/$I$4</f>
        <v>4</v>
      </c>
      <c r="Q16" s="89">
        <f>ROUNDDOWN(O16*P16,0)</f>
        <v>3800000</v>
      </c>
    </row>
    <row r="17" spans="3:20" ht="12" customHeight="1">
      <c r="C17" s="91"/>
      <c r="D17" s="92"/>
      <c r="E17" s="92"/>
      <c r="F17" s="92"/>
      <c r="G17" s="92"/>
      <c r="H17" s="92"/>
      <c r="I17" s="92"/>
      <c r="J17" s="92"/>
      <c r="K17" s="79"/>
      <c r="L17" s="79"/>
      <c r="M17" s="79"/>
      <c r="O17" s="79"/>
      <c r="P17" s="93"/>
      <c r="Q17" s="79"/>
    </row>
    <row r="18" spans="3:20" ht="52.9"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4.75" thickBot="1">
      <c r="C20" s="80" t="s">
        <v>0</v>
      </c>
      <c r="D20" s="128"/>
      <c r="E20" s="128"/>
      <c r="F20" s="128"/>
      <c r="G20" s="128"/>
      <c r="H20" s="128"/>
      <c r="I20" s="128"/>
      <c r="J20" s="128"/>
      <c r="K20" s="79"/>
      <c r="L20" s="94" t="s">
        <v>47</v>
      </c>
      <c r="M20" s="94" t="s">
        <v>48</v>
      </c>
      <c r="O20" s="129" t="s">
        <v>49</v>
      </c>
      <c r="P20" s="90"/>
      <c r="Q20" s="127" t="s">
        <v>53</v>
      </c>
    </row>
    <row r="21" spans="3:20" ht="50.45" customHeight="1" thickBot="1">
      <c r="C21" s="133" t="s">
        <v>146</v>
      </c>
      <c r="D21" s="134"/>
      <c r="E21" s="134">
        <v>300000</v>
      </c>
      <c r="F21" s="134"/>
      <c r="G21" s="134"/>
      <c r="H21" s="134"/>
      <c r="I21" s="134"/>
      <c r="J21" s="85">
        <f>SUM(D21:I21)</f>
        <v>300000</v>
      </c>
      <c r="K21" s="79"/>
      <c r="L21" s="136">
        <v>1</v>
      </c>
      <c r="M21" s="136">
        <v>1</v>
      </c>
      <c r="O21" s="89">
        <f>J21</f>
        <v>300000</v>
      </c>
      <c r="P21" s="90">
        <f>IFERROR(M21/L21,"-")</f>
        <v>1</v>
      </c>
      <c r="Q21" s="89">
        <f>IFERROR(ROUNDDOWN(O21*P21,0),"")</f>
        <v>300000</v>
      </c>
    </row>
    <row r="22" spans="3:20" ht="50.45" customHeight="1" thickBot="1">
      <c r="C22" s="133" t="s">
        <v>45</v>
      </c>
      <c r="D22" s="134"/>
      <c r="E22" s="134"/>
      <c r="F22" s="134">
        <v>200000</v>
      </c>
      <c r="G22" s="134"/>
      <c r="H22" s="134"/>
      <c r="I22" s="134"/>
      <c r="J22" s="85">
        <f>SUM(D22:I22)</f>
        <v>200000</v>
      </c>
      <c r="K22" s="79"/>
      <c r="L22" s="136">
        <v>1</v>
      </c>
      <c r="M22" s="136">
        <v>2</v>
      </c>
      <c r="O22" s="89">
        <f>J22</f>
        <v>200000</v>
      </c>
      <c r="P22" s="90">
        <f>IFERROR(M22/L22,"-")</f>
        <v>2</v>
      </c>
      <c r="Q22" s="89">
        <f t="shared" ref="Q22:Q25" si="1">IFERROR(ROUNDDOWN(O22*P22,0),"")</f>
        <v>400000</v>
      </c>
    </row>
    <row r="23" spans="3:20" ht="50.45" customHeight="1" thickBot="1">
      <c r="C23" s="133" t="s">
        <v>44</v>
      </c>
      <c r="D23" s="134">
        <v>100000</v>
      </c>
      <c r="E23" s="134"/>
      <c r="F23" s="134">
        <v>100000</v>
      </c>
      <c r="G23" s="134"/>
      <c r="H23" s="134"/>
      <c r="I23" s="134"/>
      <c r="J23" s="85">
        <f>SUM(D23:I23)</f>
        <v>200000</v>
      </c>
      <c r="K23" s="79"/>
      <c r="L23" s="136">
        <v>2</v>
      </c>
      <c r="M23" s="136">
        <v>3</v>
      </c>
      <c r="O23" s="89">
        <f>J23</f>
        <v>200000</v>
      </c>
      <c r="P23" s="90">
        <f>IFERROR(M23/L23,"-")</f>
        <v>1.5</v>
      </c>
      <c r="Q23" s="89">
        <f t="shared" si="1"/>
        <v>300000</v>
      </c>
      <c r="S23" s="95"/>
      <c r="T23" s="79"/>
    </row>
    <row r="24" spans="3:20" ht="50.45"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5"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4800000</v>
      </c>
      <c r="T25" s="79"/>
    </row>
    <row r="26" spans="3:20" ht="24">
      <c r="C26" s="97"/>
      <c r="D26" s="98"/>
      <c r="E26" s="98"/>
      <c r="F26" s="98"/>
      <c r="G26" s="98"/>
      <c r="H26" s="98"/>
      <c r="I26" s="98"/>
      <c r="J26" s="98"/>
      <c r="K26" s="79"/>
      <c r="L26" s="99"/>
      <c r="M26" s="99"/>
      <c r="P26" s="86"/>
      <c r="S26" s="77"/>
      <c r="T26" s="77" t="s">
        <v>86</v>
      </c>
    </row>
  </sheetData>
  <sheetProtection algorithmName="SHA-512" hashValue="mXr2SRQJTGklYZwN8poT6yGJjDAv4aKiScNcUwOhsnnjYFWKNmGk9cu+yxpMiPTcD0y6AIWovbL54togwNLn9Q==" saltValue="7YM5QiwtC+VSwi84aiBg5Q==" spinCount="100000" sheet="1" objects="1" scenarios="1"/>
  <mergeCells count="3">
    <mergeCell ref="C9:C10"/>
    <mergeCell ref="G4:H4"/>
    <mergeCell ref="C18:I18"/>
  </mergeCells>
  <phoneticPr fontId="1"/>
  <dataValidations count="1">
    <dataValidation type="list" allowBlank="1" showInputMessage="1" showErrorMessage="1" sqref="J18" xr:uid="{55EBEF70-3668-487F-822C-E8C206D3B699}">
      <formula1>"✓"</formula1>
    </dataValidation>
  </dataValidations>
  <printOptions horizontalCentered="1"/>
  <pageMargins left="0.70866141732283472" right="0.70866141732283472" top="0.74803149606299213" bottom="0.74803149606299213" header="0.31496062992125984" footer="0.31496062992125984"/>
  <pageSetup paperSize="9" scale="5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912F-7B57-4992-B164-C1D0DFCD3912}">
  <sheetPr codeName="Sheet3">
    <tabColor rgb="FFCCECFF"/>
    <pageSetUpPr fitToPage="1"/>
  </sheetPr>
  <dimension ref="C1:AB34"/>
  <sheetViews>
    <sheetView showGridLines="0" view="pageBreakPreview" zoomScaleNormal="100" zoomScaleSheetLayoutView="100" workbookViewId="0">
      <selection activeCell="W26" sqref="W26"/>
    </sheetView>
  </sheetViews>
  <sheetFormatPr defaultRowHeight="18.75"/>
  <cols>
    <col min="2" max="2" width="1.75" customWidth="1"/>
    <col min="3" max="3" width="31.25" customWidth="1"/>
    <col min="4" max="10" width="12.625" customWidth="1"/>
    <col min="11" max="11" width="3.25" customWidth="1"/>
    <col min="12" max="12" width="8.75" customWidth="1"/>
    <col min="13" max="13" width="14.25" customWidth="1"/>
    <col min="15" max="15" width="14.25" customWidth="1"/>
    <col min="16" max="16" width="1.75" customWidth="1"/>
    <col min="18" max="18" width="11.5" customWidth="1"/>
    <col min="19" max="19" width="9.375" bestFit="1" customWidth="1"/>
    <col min="23" max="23" width="9.875" bestFit="1" customWidth="1"/>
  </cols>
  <sheetData>
    <row r="1" spans="3:15" ht="70.900000000000006" customHeight="1">
      <c r="C1" s="21" t="s">
        <v>163</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3</v>
      </c>
      <c r="J4" s="157" t="s">
        <v>5</v>
      </c>
      <c r="K4" s="4"/>
      <c r="L4" s="4"/>
    </row>
    <row r="5" spans="3:15" ht="39" customHeight="1">
      <c r="C5" s="152" t="str">
        <f>総表!H6&amp;"："&amp;総表!I6</f>
        <v>家計急変者氏名：〇〇　〇〇</v>
      </c>
      <c r="D5" s="153" t="s">
        <v>54</v>
      </c>
      <c r="E5" s="154">
        <f>総表!I7</f>
        <v>27395</v>
      </c>
      <c r="F5" s="155" t="s">
        <v>152</v>
      </c>
      <c r="G5" s="154">
        <f>総表!E7</f>
        <v>45636</v>
      </c>
      <c r="H5" s="4"/>
      <c r="I5" s="156">
        <f>DATEDIF(E5,I6,"Y")</f>
        <v>49</v>
      </c>
      <c r="J5" s="158" t="s">
        <v>7</v>
      </c>
      <c r="K5" s="195" t="s">
        <v>110</v>
      </c>
      <c r="L5" s="196"/>
      <c r="M5" s="196"/>
      <c r="N5" s="196"/>
      <c r="O5" s="196"/>
    </row>
    <row r="6" spans="3:15" ht="38.450000000000003" customHeight="1">
      <c r="E6" s="9"/>
      <c r="H6" s="28" t="s">
        <v>114</v>
      </c>
      <c r="I6" s="138">
        <v>45292</v>
      </c>
      <c r="J6" s="197" t="str">
        <f>VLOOKUP(I6,AA26:AB34,2)</f>
        <v>2024(令和6)年7月～2025(令和7)年6月支給分で適用する基準日です。</v>
      </c>
      <c r="K6" s="198"/>
      <c r="L6" s="198"/>
      <c r="M6" s="198"/>
      <c r="N6" s="198"/>
      <c r="O6" s="199"/>
    </row>
    <row r="7" spans="3:15" ht="32.450000000000003" customHeight="1">
      <c r="E7" s="9"/>
    </row>
    <row r="8" spans="3:15" ht="24">
      <c r="C8" s="27" t="s">
        <v>55</v>
      </c>
      <c r="J8" s="28" t="s">
        <v>57</v>
      </c>
    </row>
    <row r="9" spans="3:15" ht="24">
      <c r="C9" s="191" t="s">
        <v>4</v>
      </c>
      <c r="D9" s="150">
        <f>総表!M7</f>
        <v>45658</v>
      </c>
      <c r="E9" s="150">
        <f>IF(総表!M10&gt;=2,EDATE(D9,1),"")</f>
        <v>45689</v>
      </c>
      <c r="F9" s="150">
        <f>IF(総表!M10&gt;=3,EDATE(E9,1),"")</f>
        <v>45717</v>
      </c>
      <c r="G9" s="150" t="str">
        <f>IF(総表!M10&gt;=4,EDATE(F9,1),"")</f>
        <v/>
      </c>
      <c r="H9" s="150" t="str">
        <f>IF(総表!M10&gt;=5,EDATE(G9,1),"")</f>
        <v/>
      </c>
      <c r="I9" s="150" t="str">
        <f>IF(総表!M10=6,EDATE(H9,1),"")</f>
        <v/>
      </c>
      <c r="J9" s="119" t="s">
        <v>51</v>
      </c>
    </row>
    <row r="10" spans="3:15" ht="24">
      <c r="C10" s="192"/>
      <c r="D10" s="151">
        <f>D9</f>
        <v>45658</v>
      </c>
      <c r="E10" s="151">
        <f t="shared" ref="E10:I10" si="0">E9</f>
        <v>45689</v>
      </c>
      <c r="F10" s="151">
        <f t="shared" si="0"/>
        <v>45717</v>
      </c>
      <c r="G10" s="151" t="str">
        <f t="shared" si="0"/>
        <v/>
      </c>
      <c r="H10" s="151" t="str">
        <f t="shared" si="0"/>
        <v/>
      </c>
      <c r="I10" s="151" t="str">
        <f t="shared" si="0"/>
        <v/>
      </c>
      <c r="J10" s="120" t="s">
        <v>52</v>
      </c>
    </row>
    <row r="11" spans="3:15" ht="50.45" customHeight="1">
      <c r="C11" s="139" t="s">
        <v>81</v>
      </c>
      <c r="D11" s="137">
        <v>20000</v>
      </c>
      <c r="E11" s="137">
        <v>20000</v>
      </c>
      <c r="F11" s="137">
        <v>20000</v>
      </c>
      <c r="G11" s="137"/>
      <c r="H11" s="137"/>
      <c r="I11" s="137"/>
      <c r="J11" s="19">
        <f t="shared" ref="J11:J18" si="1">SUM(D11:I11)</f>
        <v>60000</v>
      </c>
    </row>
    <row r="12" spans="3:15" ht="50.45" customHeight="1">
      <c r="C12" s="139" t="s">
        <v>82</v>
      </c>
      <c r="D12" s="137">
        <v>30000</v>
      </c>
      <c r="E12" s="137">
        <v>30000</v>
      </c>
      <c r="F12" s="137">
        <v>30000</v>
      </c>
      <c r="G12" s="137"/>
      <c r="H12" s="137"/>
      <c r="I12" s="137"/>
      <c r="J12" s="19">
        <f t="shared" si="1"/>
        <v>90000</v>
      </c>
    </row>
    <row r="13" spans="3:15" ht="50.45" customHeight="1">
      <c r="C13" s="139" t="s">
        <v>83</v>
      </c>
      <c r="D13" s="137">
        <v>40000</v>
      </c>
      <c r="E13" s="137">
        <v>40000</v>
      </c>
      <c r="F13" s="137">
        <v>40000</v>
      </c>
      <c r="G13" s="137"/>
      <c r="H13" s="137"/>
      <c r="I13" s="137"/>
      <c r="J13" s="19">
        <f t="shared" si="1"/>
        <v>120000</v>
      </c>
    </row>
    <row r="14" spans="3:15" ht="50.45" customHeight="1">
      <c r="C14" s="139" t="s">
        <v>84</v>
      </c>
      <c r="D14" s="137">
        <v>10000</v>
      </c>
      <c r="E14" s="137">
        <v>10000</v>
      </c>
      <c r="F14" s="137">
        <v>10000</v>
      </c>
      <c r="G14" s="137"/>
      <c r="H14" s="137"/>
      <c r="I14" s="137"/>
      <c r="J14" s="19">
        <f t="shared" si="1"/>
        <v>30000</v>
      </c>
    </row>
    <row r="15" spans="3:15" ht="50.45" customHeight="1">
      <c r="C15" s="139" t="s">
        <v>56</v>
      </c>
      <c r="D15" s="137"/>
      <c r="E15" s="137"/>
      <c r="F15" s="137"/>
      <c r="G15" s="137"/>
      <c r="H15" s="137"/>
      <c r="I15" s="137"/>
      <c r="J15" s="19">
        <f t="shared" si="1"/>
        <v>0</v>
      </c>
    </row>
    <row r="16" spans="3:15" ht="50.45" customHeight="1">
      <c r="C16" s="139" t="s">
        <v>148</v>
      </c>
      <c r="D16" s="137"/>
      <c r="E16" s="137"/>
      <c r="F16" s="137"/>
      <c r="G16" s="137"/>
      <c r="H16" s="137"/>
      <c r="I16" s="137"/>
      <c r="J16" s="19">
        <f t="shared" si="1"/>
        <v>0</v>
      </c>
    </row>
    <row r="17" spans="3:28" ht="50.45" customHeight="1" thickBot="1">
      <c r="C17" s="139" t="s">
        <v>149</v>
      </c>
      <c r="D17" s="137"/>
      <c r="E17" s="137"/>
      <c r="F17" s="137"/>
      <c r="G17" s="137"/>
      <c r="H17" s="137"/>
      <c r="I17" s="137"/>
      <c r="J17" s="19">
        <f t="shared" si="1"/>
        <v>0</v>
      </c>
      <c r="M17" s="24" t="s">
        <v>1</v>
      </c>
      <c r="O17" s="29" t="s">
        <v>53</v>
      </c>
    </row>
    <row r="18" spans="3:28" ht="50.45" customHeight="1" thickTop="1" thickBot="1">
      <c r="C18" s="139" t="s">
        <v>150</v>
      </c>
      <c r="D18" s="137"/>
      <c r="E18" s="137"/>
      <c r="F18" s="137"/>
      <c r="G18" s="137"/>
      <c r="H18" s="137"/>
      <c r="I18" s="137"/>
      <c r="J18" s="19">
        <f t="shared" si="1"/>
        <v>0</v>
      </c>
      <c r="M18" s="20">
        <f>SUM(J11:J18)</f>
        <v>300000</v>
      </c>
      <c r="N18" s="25">
        <f>12/$I$4</f>
        <v>4</v>
      </c>
      <c r="O18" s="30">
        <f>ROUNDDOWN(M18*N18,0)</f>
        <v>1200000</v>
      </c>
      <c r="P18" s="3"/>
    </row>
    <row r="19" spans="3:28" ht="24">
      <c r="O19" s="26"/>
      <c r="P19" s="26" t="s">
        <v>86</v>
      </c>
    </row>
    <row r="26" spans="3:28">
      <c r="AA26" s="9">
        <v>44562</v>
      </c>
      <c r="AB26" t="s">
        <v>111</v>
      </c>
    </row>
    <row r="27" spans="3:28">
      <c r="AA27" s="9">
        <v>44927</v>
      </c>
      <c r="AB27" t="s">
        <v>112</v>
      </c>
    </row>
    <row r="28" spans="3:28">
      <c r="AA28" s="9">
        <v>45292</v>
      </c>
      <c r="AB28" t="s">
        <v>113</v>
      </c>
    </row>
    <row r="29" spans="3:28">
      <c r="AA29" s="9">
        <v>45658</v>
      </c>
      <c r="AB29" t="s">
        <v>168</v>
      </c>
    </row>
    <row r="30" spans="3:28">
      <c r="AA30" s="9">
        <v>46023</v>
      </c>
      <c r="AB30" t="s">
        <v>173</v>
      </c>
    </row>
    <row r="31" spans="3:28">
      <c r="AA31" s="9">
        <v>46388</v>
      </c>
      <c r="AB31" t="s">
        <v>169</v>
      </c>
    </row>
    <row r="32" spans="3:28">
      <c r="AA32" s="9">
        <v>46753</v>
      </c>
      <c r="AB32" t="s">
        <v>170</v>
      </c>
    </row>
    <row r="33" spans="27:28">
      <c r="AA33" s="9">
        <v>47119</v>
      </c>
      <c r="AB33" t="s">
        <v>171</v>
      </c>
    </row>
    <row r="34" spans="27:28">
      <c r="AA34" s="9">
        <v>47484</v>
      </c>
      <c r="AB34" t="s">
        <v>172</v>
      </c>
    </row>
  </sheetData>
  <sheetProtection algorithmName="SHA-512" hashValue="SDrl5XzXhpT84J8BAEdrDDrRa8NY561R4YN002lYdW19AxhKN/ClDdouaKimUU13gGYAF3EFQI72DbNo31cU8Q==" saltValue="idlODnCDZZ6GWlqftaRMmw==" spinCount="100000" sheet="1" objects="1" scenarios="1"/>
  <mergeCells count="4">
    <mergeCell ref="C9:C10"/>
    <mergeCell ref="G4:H4"/>
    <mergeCell ref="K5:O5"/>
    <mergeCell ref="J6:O6"/>
  </mergeCells>
  <phoneticPr fontId="1"/>
  <dataValidations count="1">
    <dataValidation type="list" allowBlank="1" showInputMessage="1" showErrorMessage="1" sqref="I6" xr:uid="{C880C1E2-1FEF-45B0-B8EF-48F77612A06C}">
      <formula1>$AA$26:$AA$34</formula1>
    </dataValidation>
  </dataValidations>
  <printOptions horizontalCentered="1"/>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0804-469E-4396-9F39-4A7D669C8041}">
  <sheetPr codeName="Sheet4">
    <tabColor rgb="FFCCECFF"/>
    <pageSetUpPr fitToPage="1"/>
  </sheetPr>
  <dimension ref="C1:O22"/>
  <sheetViews>
    <sheetView showGridLines="0" view="pageBreakPreview" zoomScaleNormal="100" zoomScaleSheetLayoutView="100" workbookViewId="0">
      <selection activeCell="W26" sqref="W26"/>
    </sheetView>
  </sheetViews>
  <sheetFormatPr defaultRowHeight="18.75"/>
  <cols>
    <col min="2" max="2" width="1.75" customWidth="1"/>
    <col min="3" max="3" width="31.25" customWidth="1"/>
    <col min="4" max="10" width="12.625" customWidth="1"/>
    <col min="12" max="12" width="12.625" customWidth="1"/>
    <col min="14" max="14" width="12.625" customWidth="1"/>
    <col min="15" max="15" width="1.75" customWidth="1"/>
    <col min="17" max="17" width="11.5" customWidth="1"/>
    <col min="19" max="19" width="9.375" bestFit="1" customWidth="1"/>
    <col min="23" max="23" width="9.875" bestFit="1" customWidth="1"/>
  </cols>
  <sheetData>
    <row r="1" spans="3:15" ht="30">
      <c r="C1" s="21" t="s">
        <v>164</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3</v>
      </c>
      <c r="J4" s="157" t="s">
        <v>5</v>
      </c>
      <c r="K4" s="4"/>
      <c r="L4" s="4"/>
      <c r="M4" s="4"/>
    </row>
    <row r="5" spans="3:15" ht="39" customHeight="1">
      <c r="C5" s="152" t="str">
        <f>総表!H6&amp;"："&amp;総表!I6</f>
        <v>家計急変者氏名：〇〇　〇〇</v>
      </c>
      <c r="D5" s="153" t="s">
        <v>54</v>
      </c>
      <c r="E5" s="154">
        <f>総表!I7</f>
        <v>27395</v>
      </c>
      <c r="F5" s="146" t="s">
        <v>152</v>
      </c>
      <c r="G5" s="154">
        <f>総表!E7</f>
        <v>45636</v>
      </c>
      <c r="H5" s="4"/>
      <c r="I5" s="36"/>
      <c r="J5" s="36"/>
      <c r="K5" s="4"/>
      <c r="L5" s="4"/>
      <c r="M5" s="4"/>
    </row>
    <row r="6" spans="3:15" ht="12" customHeight="1">
      <c r="E6" s="9"/>
    </row>
    <row r="7" spans="3:15" ht="12" customHeight="1">
      <c r="E7" s="9"/>
    </row>
    <row r="8" spans="3:15" ht="24">
      <c r="C8" s="27" t="s">
        <v>87</v>
      </c>
      <c r="J8" s="28" t="s">
        <v>57</v>
      </c>
    </row>
    <row r="9" spans="3:15" ht="25.15" customHeight="1">
      <c r="C9" s="200" t="s">
        <v>4</v>
      </c>
      <c r="D9" s="150">
        <f>総表!M7</f>
        <v>45658</v>
      </c>
      <c r="E9" s="150">
        <f>IF(総表!M10&gt;=2,EDATE(D9,1),"")</f>
        <v>45689</v>
      </c>
      <c r="F9" s="150">
        <f>IF(総表!M10&gt;=3,EDATE(E9,1),"")</f>
        <v>45717</v>
      </c>
      <c r="G9" s="150" t="str">
        <f>IF(総表!M10&gt;=4,EDATE(F9,1),"")</f>
        <v/>
      </c>
      <c r="H9" s="150" t="str">
        <f>IF(総表!M10&gt;=5,EDATE(G9,1),"")</f>
        <v/>
      </c>
      <c r="I9" s="150" t="str">
        <f>IF(総表!M10=6,EDATE(H9,1),"")</f>
        <v/>
      </c>
      <c r="J9" s="119" t="s">
        <v>51</v>
      </c>
    </row>
    <row r="10" spans="3:15" ht="25.15" customHeight="1">
      <c r="C10" s="192"/>
      <c r="D10" s="151">
        <f>D9</f>
        <v>45658</v>
      </c>
      <c r="E10" s="151">
        <f t="shared" ref="E10:I10" si="0">E9</f>
        <v>45689</v>
      </c>
      <c r="F10" s="151">
        <f t="shared" si="0"/>
        <v>45717</v>
      </c>
      <c r="G10" s="151" t="str">
        <f t="shared" si="0"/>
        <v/>
      </c>
      <c r="H10" s="151" t="str">
        <f t="shared" si="0"/>
        <v/>
      </c>
      <c r="I10" s="151" t="str">
        <f t="shared" si="0"/>
        <v/>
      </c>
      <c r="J10" s="120" t="s">
        <v>52</v>
      </c>
      <c r="K10" s="6"/>
      <c r="L10" s="26"/>
    </row>
    <row r="11" spans="3:15" ht="24.75" thickBot="1">
      <c r="C11" s="121" t="s">
        <v>65</v>
      </c>
      <c r="D11" s="122"/>
      <c r="E11" s="122"/>
      <c r="F11" s="122"/>
      <c r="G11" s="122"/>
      <c r="H11" s="122"/>
      <c r="I11" s="122"/>
      <c r="J11" s="122"/>
      <c r="K11" s="5"/>
      <c r="L11" s="31" t="s">
        <v>53</v>
      </c>
      <c r="M11" s="5"/>
    </row>
    <row r="12" spans="3:15" ht="42.6" customHeight="1" thickBot="1">
      <c r="C12" s="80" t="s">
        <v>135</v>
      </c>
      <c r="D12" s="140">
        <v>100000</v>
      </c>
      <c r="E12" s="140">
        <v>-300000</v>
      </c>
      <c r="F12" s="140">
        <v>100000</v>
      </c>
      <c r="G12" s="140"/>
      <c r="H12" s="140"/>
      <c r="I12" s="140"/>
      <c r="J12" s="32">
        <f>SUM(D12:I12)</f>
        <v>-100000</v>
      </c>
      <c r="K12" s="18">
        <f>12/$I$4</f>
        <v>4</v>
      </c>
      <c r="L12" s="34">
        <f>ROUNDDOWN(J12*K12,0)</f>
        <v>-400000</v>
      </c>
      <c r="M12" s="18"/>
      <c r="N12" s="3"/>
      <c r="O12" s="3"/>
    </row>
    <row r="13" spans="3:15" ht="42.6" customHeight="1" thickBot="1">
      <c r="C13" s="80" t="s">
        <v>134</v>
      </c>
      <c r="D13" s="140">
        <v>100000</v>
      </c>
      <c r="E13" s="140">
        <v>100000</v>
      </c>
      <c r="F13" s="140">
        <v>100000</v>
      </c>
      <c r="G13" s="141"/>
      <c r="H13" s="141"/>
      <c r="I13" s="141"/>
      <c r="J13" s="32">
        <f>SUM(D13:I13)</f>
        <v>300000</v>
      </c>
      <c r="K13" s="18">
        <f>12/$I$4</f>
        <v>4</v>
      </c>
      <c r="L13" s="34">
        <f>ROUNDDOWN(J13*K13,0)</f>
        <v>1200000</v>
      </c>
      <c r="M13" s="2"/>
      <c r="N13" s="3"/>
      <c r="O13" s="3"/>
    </row>
    <row r="14" spans="3:15" ht="42.6" customHeight="1" thickBot="1">
      <c r="C14" s="80" t="s">
        <v>136</v>
      </c>
      <c r="D14" s="140"/>
      <c r="E14" s="140"/>
      <c r="F14" s="140"/>
      <c r="G14" s="141"/>
      <c r="H14" s="141"/>
      <c r="I14" s="141"/>
      <c r="J14" s="32">
        <f>SUM(D14:I14)</f>
        <v>0</v>
      </c>
      <c r="K14" s="18">
        <f>12/$I$4</f>
        <v>4</v>
      </c>
      <c r="L14" s="34">
        <f>ROUNDDOWN(J14*K14,0)</f>
        <v>0</v>
      </c>
      <c r="M14" s="18"/>
    </row>
    <row r="15" spans="3:15" ht="42.6" customHeight="1" thickBot="1">
      <c r="C15" s="80" t="s">
        <v>137</v>
      </c>
      <c r="D15" s="140"/>
      <c r="E15" s="140"/>
      <c r="F15" s="140"/>
      <c r="G15" s="140"/>
      <c r="H15" s="140"/>
      <c r="I15" s="140"/>
      <c r="J15" s="32">
        <f>SUM(D15:I15)</f>
        <v>0</v>
      </c>
      <c r="K15" s="18">
        <f>12/$I$4</f>
        <v>4</v>
      </c>
      <c r="L15" s="34">
        <f>ROUNDDOWN(J15*K15,0)</f>
        <v>0</v>
      </c>
      <c r="M15" s="2"/>
      <c r="N15" s="3"/>
      <c r="O15" s="3"/>
    </row>
    <row r="16" spans="3:15" ht="42.6" customHeight="1" thickBot="1">
      <c r="C16" s="80" t="s">
        <v>138</v>
      </c>
      <c r="D16" s="141"/>
      <c r="E16" s="141"/>
      <c r="F16" s="141"/>
      <c r="G16" s="141"/>
      <c r="H16" s="141"/>
      <c r="I16" s="141"/>
      <c r="J16" s="32">
        <f>SUM(D16:I16)</f>
        <v>0</v>
      </c>
      <c r="K16" s="18">
        <f>12/$I$4</f>
        <v>4</v>
      </c>
      <c r="L16" s="34">
        <f>ROUNDDOWN(J16*K16,0)</f>
        <v>0</v>
      </c>
      <c r="M16" s="18"/>
    </row>
    <row r="17" spans="3:15" ht="26.25" thickBot="1">
      <c r="C17" s="123" t="s">
        <v>61</v>
      </c>
      <c r="D17" s="33"/>
      <c r="E17" s="33"/>
      <c r="F17" s="33"/>
      <c r="G17" s="33"/>
      <c r="H17" s="33"/>
      <c r="I17" s="33"/>
      <c r="J17" s="33"/>
      <c r="K17" s="5"/>
      <c r="L17" s="31"/>
      <c r="M17" s="5"/>
    </row>
    <row r="18" spans="3:15" ht="42.6" customHeight="1" thickBot="1">
      <c r="C18" s="80" t="s">
        <v>139</v>
      </c>
      <c r="D18" s="140">
        <v>50000</v>
      </c>
      <c r="E18" s="140"/>
      <c r="F18" s="140"/>
      <c r="G18" s="140"/>
      <c r="H18" s="140"/>
      <c r="I18" s="140"/>
      <c r="J18" s="32">
        <f>SUM(D18:I18)</f>
        <v>50000</v>
      </c>
      <c r="K18" s="2"/>
      <c r="L18" s="34">
        <f>J18</f>
        <v>50000</v>
      </c>
      <c r="M18" s="2"/>
      <c r="N18" s="3"/>
      <c r="O18" s="3"/>
    </row>
    <row r="19" spans="3:15" ht="42.6" customHeight="1" thickBot="1">
      <c r="C19" s="80" t="s">
        <v>140</v>
      </c>
      <c r="D19" s="140"/>
      <c r="E19" s="140"/>
      <c r="F19" s="140">
        <v>100000</v>
      </c>
      <c r="G19" s="140"/>
      <c r="H19" s="140"/>
      <c r="I19" s="140"/>
      <c r="J19" s="32">
        <f>SUM(D19:I19)</f>
        <v>100000</v>
      </c>
      <c r="K19" s="2"/>
      <c r="L19" s="34">
        <f>J19</f>
        <v>100000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v>10000</v>
      </c>
      <c r="F21" s="140"/>
      <c r="G21" s="140"/>
      <c r="H21" s="140"/>
      <c r="I21" s="140"/>
      <c r="J21" s="32">
        <f>SUM(D21:I21)</f>
        <v>10000</v>
      </c>
      <c r="K21" s="2"/>
      <c r="L21" s="34">
        <f>J21</f>
        <v>10000</v>
      </c>
      <c r="M21" s="2"/>
      <c r="N21" s="35">
        <f>MAX(SUM(L12:L16,L18:L21),0)</f>
        <v>960000</v>
      </c>
      <c r="O21" s="3"/>
    </row>
    <row r="22" spans="3:15" ht="24">
      <c r="O22" s="26" t="s">
        <v>86</v>
      </c>
    </row>
  </sheetData>
  <sheetProtection algorithmName="SHA-512" hashValue="CwBJsUf9s31/zf9phHAqF3B9eOlsnxec7TkxEPK2GZBTDSHL+YHGooDMKQzyPx8nAueOy3rn8a8y/e14DSBqrw==" saltValue="1C7f5VIFWmjTgCihPK7J6g=="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30CA-E785-4330-BFE3-71548118C3DD}">
  <sheetPr codeName="Sheet5">
    <tabColor rgb="FFCCECFF"/>
    <pageSetUpPr fitToPage="1"/>
  </sheetPr>
  <dimension ref="C1:O20"/>
  <sheetViews>
    <sheetView showGridLines="0" view="pageBreakPreview" zoomScaleNormal="100" zoomScaleSheetLayoutView="100" workbookViewId="0">
      <selection activeCell="W26" sqref="W26"/>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8" width="13.875" style="67" customWidth="1"/>
    <col min="9" max="9" width="11.25" style="67" customWidth="1"/>
    <col min="10"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 customHeight="1">
      <c r="C1" s="66" t="s">
        <v>165</v>
      </c>
    </row>
    <row r="2" spans="3:15" ht="30">
      <c r="C2" s="66" t="s">
        <v>155</v>
      </c>
    </row>
    <row r="3" spans="3:15" ht="72" customHeight="1">
      <c r="C3" s="201" t="s">
        <v>156</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80" t="s">
        <v>71</v>
      </c>
      <c r="M6" s="208" t="s">
        <v>144</v>
      </c>
      <c r="N6" s="209"/>
    </row>
    <row r="7" spans="3:15" ht="11.45"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27395</v>
      </c>
      <c r="F8" s="146" t="s">
        <v>152</v>
      </c>
      <c r="G8" s="147">
        <f>総表!E7</f>
        <v>45636</v>
      </c>
      <c r="H8" s="81" t="s">
        <v>63</v>
      </c>
      <c r="I8" s="202"/>
      <c r="J8" s="202"/>
      <c r="K8" s="202"/>
      <c r="L8" s="202"/>
      <c r="M8" s="202"/>
      <c r="N8" s="203"/>
    </row>
    <row r="9" spans="3:15" ht="12" customHeight="1">
      <c r="E9" s="76"/>
    </row>
    <row r="10" spans="3:15" ht="12" customHeight="1">
      <c r="E10" s="76"/>
    </row>
    <row r="11" spans="3:15" ht="24">
      <c r="C11" s="68"/>
      <c r="I11" s="77"/>
      <c r="J11" s="77"/>
    </row>
    <row r="12" spans="3:15" ht="25.15" customHeight="1">
      <c r="C12" s="218" t="s">
        <v>4</v>
      </c>
      <c r="D12" s="214" t="s">
        <v>157</v>
      </c>
      <c r="E12" s="211"/>
      <c r="F12" s="210" t="s">
        <v>62</v>
      </c>
      <c r="G12" s="211"/>
      <c r="H12" s="214" t="s">
        <v>158</v>
      </c>
      <c r="I12" s="215"/>
      <c r="J12" s="82"/>
      <c r="K12" s="78"/>
      <c r="L12" s="78"/>
      <c r="M12" s="78"/>
      <c r="N12" s="78"/>
    </row>
    <row r="13" spans="3:15" ht="25.15" customHeight="1">
      <c r="C13" s="219"/>
      <c r="D13" s="212"/>
      <c r="E13" s="213"/>
      <c r="F13" s="212"/>
      <c r="G13" s="213"/>
      <c r="H13" s="216"/>
      <c r="I13" s="217"/>
      <c r="J13" s="82"/>
      <c r="K13" s="78"/>
      <c r="L13" s="78"/>
      <c r="M13" s="78"/>
      <c r="N13" s="78"/>
    </row>
    <row r="14" spans="3:15" ht="42.6" customHeight="1">
      <c r="C14" s="159">
        <f>総表!M7</f>
        <v>45658</v>
      </c>
      <c r="D14" s="206">
        <v>500000</v>
      </c>
      <c r="E14" s="207"/>
      <c r="F14" s="206">
        <v>400000</v>
      </c>
      <c r="G14" s="207"/>
      <c r="H14" s="204">
        <f t="shared" ref="H14:H19" si="0">D14-F14</f>
        <v>100000</v>
      </c>
      <c r="I14" s="205"/>
      <c r="J14" s="82"/>
      <c r="K14" s="78"/>
      <c r="L14" s="78"/>
      <c r="M14" s="78"/>
      <c r="N14" s="78"/>
      <c r="O14" s="79"/>
    </row>
    <row r="15" spans="3:15" ht="42.6" customHeight="1">
      <c r="C15" s="159">
        <f>IF(総表!$M$10&gt;=2,EDATE(C14,1),"")</f>
        <v>45689</v>
      </c>
      <c r="D15" s="206">
        <v>300000</v>
      </c>
      <c r="E15" s="207"/>
      <c r="F15" s="206">
        <v>600000</v>
      </c>
      <c r="G15" s="207"/>
      <c r="H15" s="204">
        <f t="shared" si="0"/>
        <v>-300000</v>
      </c>
      <c r="I15" s="205"/>
      <c r="J15" s="82"/>
      <c r="K15" s="78"/>
      <c r="L15" s="78"/>
      <c r="M15" s="78"/>
      <c r="N15" s="78"/>
      <c r="O15" s="79"/>
    </row>
    <row r="16" spans="3:15" ht="42.6" customHeight="1">
      <c r="C16" s="159">
        <f>IF(総表!$M$10&gt;=3,EDATE(C15,1),"")</f>
        <v>45717</v>
      </c>
      <c r="D16" s="206">
        <v>400000</v>
      </c>
      <c r="E16" s="207"/>
      <c r="F16" s="206">
        <v>300000</v>
      </c>
      <c r="G16" s="207"/>
      <c r="H16" s="204">
        <f t="shared" si="0"/>
        <v>100000</v>
      </c>
      <c r="I16" s="205"/>
      <c r="J16" s="82"/>
      <c r="K16" s="78"/>
      <c r="L16" s="78"/>
      <c r="M16" s="78"/>
      <c r="N16" s="78"/>
    </row>
    <row r="17" spans="3:15" ht="42.6" customHeight="1">
      <c r="C17" s="159" t="str">
        <f>IF(総表!$M$10&gt;=4,EDATE(C16,1),"")</f>
        <v/>
      </c>
      <c r="D17" s="206"/>
      <c r="E17" s="207"/>
      <c r="F17" s="206"/>
      <c r="G17" s="207"/>
      <c r="H17" s="204">
        <f t="shared" si="0"/>
        <v>0</v>
      </c>
      <c r="I17" s="205"/>
      <c r="J17" s="82"/>
      <c r="K17" s="78"/>
      <c r="L17" s="78"/>
      <c r="M17" s="78"/>
      <c r="N17" s="78"/>
      <c r="O17" s="79"/>
    </row>
    <row r="18" spans="3:15" ht="42.6" customHeight="1">
      <c r="C18" s="159" t="str">
        <f>IF(総表!$M$10&gt;=5,EDATE(C17,1),"")</f>
        <v/>
      </c>
      <c r="D18" s="206"/>
      <c r="E18" s="207"/>
      <c r="F18" s="206"/>
      <c r="G18" s="207"/>
      <c r="H18" s="204">
        <f t="shared" si="0"/>
        <v>0</v>
      </c>
      <c r="I18" s="205"/>
      <c r="J18" s="82"/>
      <c r="K18" s="78"/>
      <c r="L18" s="78"/>
      <c r="M18" s="78"/>
      <c r="N18" s="78"/>
    </row>
    <row r="19" spans="3:15" ht="42.6" customHeight="1">
      <c r="C19" s="159" t="str">
        <f>IF(総表!$M$10=6,EDATE(C18,1),"")</f>
        <v/>
      </c>
      <c r="D19" s="206"/>
      <c r="E19" s="207"/>
      <c r="F19" s="206"/>
      <c r="G19" s="207"/>
      <c r="H19" s="204">
        <f t="shared" si="0"/>
        <v>0</v>
      </c>
      <c r="I19" s="205"/>
      <c r="J19" s="82"/>
      <c r="K19" s="78"/>
      <c r="L19" s="78"/>
      <c r="M19" s="78"/>
      <c r="N19" s="78"/>
      <c r="O19" s="79"/>
    </row>
    <row r="20" spans="3:15" ht="5.45" customHeight="1"/>
  </sheetData>
  <sheetProtection algorithmName="SHA-512" hashValue="sNbLt3fUa8njiYsHer30prAbjYIYO2UOAXpd0tEg2sA6lVf0g6DH6qxCYaBHI7YW8d4SYmM3/eSarIavV5rGqQ==" saltValue="Gyc5hmtjCMuJZUKVXDN8YA==" spinCount="100000" sheet="1" objects="1" scenarios="1"/>
  <mergeCells count="26">
    <mergeCell ref="D17:E17"/>
    <mergeCell ref="D18:E18"/>
    <mergeCell ref="D19:E19"/>
    <mergeCell ref="G6:H6"/>
    <mergeCell ref="C12:C13"/>
    <mergeCell ref="D12:E13"/>
    <mergeCell ref="H17:I17"/>
    <mergeCell ref="H18:I18"/>
    <mergeCell ref="H19:I19"/>
    <mergeCell ref="F17:G17"/>
    <mergeCell ref="F18:G18"/>
    <mergeCell ref="F19:G19"/>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s>
  <phoneticPr fontId="1"/>
  <dataValidations count="1">
    <dataValidation type="list" allowBlank="1" showInputMessage="1" showErrorMessage="1" sqref="M6:N6" xr:uid="{5AE6028A-12FD-47B6-865D-F82414616A43}">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9086-3683-4836-A209-B27D1F75DF0B}">
  <sheetPr codeName="Sheet6">
    <tabColor rgb="FFCCECFF"/>
    <pageSetUpPr fitToPage="1"/>
  </sheetPr>
  <dimension ref="C1:O21"/>
  <sheetViews>
    <sheetView showGridLines="0" view="pageBreakPreview" zoomScaleNormal="100" zoomScaleSheetLayoutView="100" workbookViewId="0">
      <selection activeCell="W26" sqref="W26"/>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599999999999994" customHeight="1">
      <c r="C1" s="66" t="s">
        <v>166</v>
      </c>
    </row>
    <row r="2" spans="3:15" ht="30">
      <c r="C2" s="66" t="s">
        <v>151</v>
      </c>
    </row>
    <row r="3" spans="3:15" ht="56.45" customHeight="1">
      <c r="C3" s="201" t="s">
        <v>145</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68"/>
      <c r="M6" s="68"/>
    </row>
    <row r="7" spans="3:15" ht="11.45"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27395</v>
      </c>
      <c r="F8" s="146" t="s">
        <v>152</v>
      </c>
      <c r="G8" s="147">
        <f>総表!E7</f>
        <v>45636</v>
      </c>
      <c r="H8" s="69"/>
      <c r="I8" s="68"/>
      <c r="J8" s="68"/>
      <c r="K8" s="68"/>
      <c r="L8" s="68"/>
      <c r="M8" s="68"/>
      <c r="N8" s="68"/>
    </row>
    <row r="9" spans="3:15" ht="10.15" customHeight="1">
      <c r="E9" s="76"/>
    </row>
    <row r="10" spans="3:15" ht="10.15" customHeight="1">
      <c r="E10" s="76"/>
    </row>
    <row r="11" spans="3:15" ht="10.15" customHeight="1">
      <c r="C11" s="68"/>
      <c r="I11" s="77"/>
      <c r="J11" s="77"/>
    </row>
    <row r="12" spans="3:15" ht="25.15" customHeight="1">
      <c r="C12" s="220" t="s">
        <v>66</v>
      </c>
      <c r="D12" s="214" t="s">
        <v>153</v>
      </c>
      <c r="E12" s="211"/>
      <c r="F12" s="214" t="s">
        <v>167</v>
      </c>
      <c r="G12" s="211"/>
      <c r="H12" s="221" t="s">
        <v>154</v>
      </c>
      <c r="I12" s="222"/>
      <c r="J12" s="225" t="s">
        <v>67</v>
      </c>
      <c r="K12" s="78"/>
      <c r="L12" s="78"/>
      <c r="M12" s="78"/>
      <c r="N12" s="78"/>
    </row>
    <row r="13" spans="3:15" ht="25.15" customHeight="1">
      <c r="C13" s="219"/>
      <c r="D13" s="212"/>
      <c r="E13" s="213"/>
      <c r="F13" s="212"/>
      <c r="G13" s="213"/>
      <c r="H13" s="223"/>
      <c r="I13" s="224"/>
      <c r="J13" s="225"/>
      <c r="K13" s="78"/>
      <c r="L13" s="78"/>
      <c r="M13" s="78"/>
      <c r="N13" s="78"/>
    </row>
    <row r="14" spans="3:15" ht="42.6" customHeight="1">
      <c r="C14" s="142" t="s">
        <v>68</v>
      </c>
      <c r="D14" s="206">
        <v>50000</v>
      </c>
      <c r="E14" s="207"/>
      <c r="F14" s="206"/>
      <c r="G14" s="207"/>
      <c r="H14" s="204">
        <f>D14-F14</f>
        <v>50000</v>
      </c>
      <c r="I14" s="205"/>
      <c r="J14" s="143">
        <v>45672</v>
      </c>
      <c r="K14" s="78"/>
      <c r="L14" s="78"/>
      <c r="M14" s="78"/>
      <c r="N14" s="78"/>
      <c r="O14" s="79"/>
    </row>
    <row r="15" spans="3:15" ht="42.6" customHeight="1">
      <c r="C15" s="142" t="s">
        <v>69</v>
      </c>
      <c r="D15" s="206">
        <v>10000</v>
      </c>
      <c r="E15" s="207"/>
      <c r="F15" s="206"/>
      <c r="G15" s="207"/>
      <c r="H15" s="204">
        <f t="shared" ref="H15:H21" si="0">D15-F15</f>
        <v>10000</v>
      </c>
      <c r="I15" s="205"/>
      <c r="J15" s="143">
        <v>45698</v>
      </c>
      <c r="K15" s="78"/>
      <c r="L15" s="78"/>
      <c r="M15" s="78"/>
      <c r="N15" s="78"/>
      <c r="O15" s="79"/>
    </row>
    <row r="16" spans="3:15" ht="42.6" customHeight="1">
      <c r="C16" s="142" t="s">
        <v>70</v>
      </c>
      <c r="D16" s="206">
        <v>100000</v>
      </c>
      <c r="E16" s="207"/>
      <c r="F16" s="206"/>
      <c r="G16" s="207"/>
      <c r="H16" s="204">
        <f t="shared" si="0"/>
        <v>100000</v>
      </c>
      <c r="I16" s="205"/>
      <c r="J16" s="143">
        <v>45736</v>
      </c>
      <c r="K16" s="78"/>
      <c r="L16" s="78"/>
      <c r="M16" s="78"/>
      <c r="N16" s="78"/>
    </row>
    <row r="17" spans="3:15" ht="42.6" customHeight="1">
      <c r="C17" s="142"/>
      <c r="D17" s="206"/>
      <c r="E17" s="207"/>
      <c r="F17" s="206"/>
      <c r="G17" s="207"/>
      <c r="H17" s="204">
        <f t="shared" si="0"/>
        <v>0</v>
      </c>
      <c r="I17" s="205"/>
      <c r="J17" s="143"/>
      <c r="K17" s="78"/>
      <c r="L17" s="78"/>
      <c r="M17" s="78"/>
      <c r="N17" s="78"/>
      <c r="O17" s="79"/>
    </row>
    <row r="18" spans="3:15" ht="42.6" customHeight="1">
      <c r="C18" s="142"/>
      <c r="D18" s="206"/>
      <c r="E18" s="207"/>
      <c r="F18" s="206"/>
      <c r="G18" s="207"/>
      <c r="H18" s="204">
        <f t="shared" si="0"/>
        <v>0</v>
      </c>
      <c r="I18" s="205"/>
      <c r="J18" s="143"/>
      <c r="K18" s="78"/>
      <c r="L18" s="78"/>
      <c r="M18" s="78"/>
      <c r="N18" s="78"/>
      <c r="O18" s="79"/>
    </row>
    <row r="19" spans="3:15" ht="42.6" customHeight="1">
      <c r="C19" s="142"/>
      <c r="D19" s="206"/>
      <c r="E19" s="207"/>
      <c r="F19" s="206"/>
      <c r="G19" s="207"/>
      <c r="H19" s="204">
        <f t="shared" si="0"/>
        <v>0</v>
      </c>
      <c r="I19" s="205"/>
      <c r="J19" s="143"/>
      <c r="K19" s="78"/>
      <c r="L19" s="78"/>
      <c r="M19" s="78"/>
      <c r="N19" s="78"/>
      <c r="O19" s="79"/>
    </row>
    <row r="20" spans="3:15" ht="42.6" customHeight="1">
      <c r="C20" s="142"/>
      <c r="D20" s="206"/>
      <c r="E20" s="207"/>
      <c r="F20" s="206"/>
      <c r="G20" s="207"/>
      <c r="H20" s="204">
        <f t="shared" si="0"/>
        <v>0</v>
      </c>
      <c r="I20" s="205"/>
      <c r="J20" s="143"/>
      <c r="K20" s="78"/>
      <c r="L20" s="78"/>
      <c r="M20" s="78"/>
      <c r="N20" s="78"/>
    </row>
    <row r="21" spans="3:15" ht="42.6" customHeight="1">
      <c r="C21" s="142"/>
      <c r="D21" s="206"/>
      <c r="E21" s="207"/>
      <c r="F21" s="206"/>
      <c r="G21" s="207"/>
      <c r="H21" s="204">
        <f t="shared" si="0"/>
        <v>0</v>
      </c>
      <c r="I21" s="205"/>
      <c r="J21" s="143"/>
      <c r="K21" s="78"/>
      <c r="L21" s="78"/>
      <c r="M21" s="78"/>
      <c r="N21" s="78"/>
      <c r="O21" s="79"/>
    </row>
  </sheetData>
  <sheetProtection algorithmName="SHA-512" hashValue="rMdByXS2a2O+QNhRpT7FRSckFqoQlMUdvqQwPHNVLJeFX/2X+Tgl5AeIIiJ/fx0FOtWplJWfmfzwpjwmOhcLEw==" saltValue="IJwBvkS3QCIOUik2xDPezQ==" spinCount="100000" sheet="1" objects="1" scenarios="1"/>
  <mergeCells count="31">
    <mergeCell ref="C3:N3"/>
    <mergeCell ref="G6:H6"/>
    <mergeCell ref="C12:C13"/>
    <mergeCell ref="D12:E13"/>
    <mergeCell ref="F12:G13"/>
    <mergeCell ref="H12:I13"/>
    <mergeCell ref="J12:J13"/>
    <mergeCell ref="D14:E14"/>
    <mergeCell ref="F14:G14"/>
    <mergeCell ref="H14:I14"/>
    <mergeCell ref="D15:E15"/>
    <mergeCell ref="F15:G15"/>
    <mergeCell ref="H15:I15"/>
    <mergeCell ref="D16:E16"/>
    <mergeCell ref="F16:G16"/>
    <mergeCell ref="H16:I16"/>
    <mergeCell ref="D19:E19"/>
    <mergeCell ref="F19:G19"/>
    <mergeCell ref="H19:I19"/>
    <mergeCell ref="D17:E17"/>
    <mergeCell ref="F17:G17"/>
    <mergeCell ref="H17:I17"/>
    <mergeCell ref="D18:E18"/>
    <mergeCell ref="F18:G18"/>
    <mergeCell ref="H18:I18"/>
    <mergeCell ref="D20:E20"/>
    <mergeCell ref="F20:G20"/>
    <mergeCell ref="H20:I20"/>
    <mergeCell ref="D21:E21"/>
    <mergeCell ref="F21:G21"/>
    <mergeCell ref="H21:I21"/>
  </mergeCells>
  <phoneticPr fontId="1"/>
  <printOptions horizontalCentered="1"/>
  <pageMargins left="0.70866141732283472" right="0.70866141732283472" top="0.74803149606299213" bottom="0.74803149606299213" header="0.31496062992125984" footer="0.31496062992125984"/>
  <pageSetup paperSize="9" scale="72"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06C1-0431-44B4-BDF3-8DE2739DA2C9}">
  <sheetPr codeName="Sheet7">
    <tabColor rgb="FFCCECFF"/>
  </sheetPr>
  <dimension ref="A1:AH120"/>
  <sheetViews>
    <sheetView view="pageBreakPreview" zoomScale="115" zoomScaleNormal="85" zoomScaleSheetLayoutView="115" workbookViewId="0"/>
  </sheetViews>
  <sheetFormatPr defaultRowHeight="18.75" outlineLevelCol="1"/>
  <cols>
    <col min="1" max="1" width="10.125" customWidth="1"/>
    <col min="2" max="2" width="3.75" customWidth="1"/>
    <col min="3" max="3" width="10.125" customWidth="1"/>
    <col min="4" max="5" width="8.75" customWidth="1"/>
    <col min="6" max="7" width="11.125" customWidth="1"/>
    <col min="8" max="8" width="2.75" customWidth="1"/>
    <col min="9" max="9" width="38.75" hidden="1" customWidth="1" outlineLevel="1"/>
    <col min="10" max="12" width="14.375" hidden="1" customWidth="1" outlineLevel="1"/>
    <col min="13" max="13" width="0" hidden="1" customWidth="1" outlineLevel="1"/>
    <col min="14" max="14" width="10.25" customWidth="1" collapsed="1"/>
    <col min="15" max="15" width="3.75" style="2" customWidth="1"/>
    <col min="16" max="16" width="10.25" customWidth="1"/>
    <col min="18" max="20" width="10.75" customWidth="1"/>
    <col min="22" max="24" width="10.75" customWidth="1"/>
    <col min="26" max="28" width="10.75" customWidth="1"/>
    <col min="29" max="29" width="18.25" customWidth="1"/>
    <col min="30" max="31" width="16.75" customWidth="1"/>
    <col min="32" max="33" width="9.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t="str">
        <f>IF(L5="✓",0,"-")</f>
        <v>-</v>
      </c>
      <c r="K5" s="40" t="str">
        <f>IFERROR(ROUNDDOWN(J5,0),"-")</f>
        <v>-</v>
      </c>
      <c r="L5" t="str">
        <f>IF($A$18&gt;=A5,IF($A$18&lt;A6,"✓",""),"")</f>
        <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100000</v>
      </c>
      <c r="AE5" s="15">
        <f>IF(S23&lt;100001,S23,100000)</f>
        <v>100000</v>
      </c>
      <c r="AF5" s="50">
        <v>-100000</v>
      </c>
      <c r="AG5" s="48">
        <f>MAX(IF(OR(AD5=0,AE5=0),0,AD5+AE5+AF5),0)</f>
        <v>100000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100000</v>
      </c>
    </row>
    <row r="12" spans="1:34">
      <c r="A12" s="48">
        <v>1800000</v>
      </c>
      <c r="B12" s="17" t="s">
        <v>17</v>
      </c>
      <c r="C12" s="48">
        <f t="shared" si="3"/>
        <v>3599999</v>
      </c>
      <c r="D12" s="8">
        <v>4</v>
      </c>
      <c r="E12" s="8">
        <v>2.8</v>
      </c>
      <c r="F12" s="48">
        <v>-80000</v>
      </c>
      <c r="G12" s="17" t="str">
        <f t="shared" si="0"/>
        <v>-</v>
      </c>
      <c r="I12" s="1" t="s">
        <v>91</v>
      </c>
      <c r="J12" s="40" t="str">
        <f>IF(L12="✓",ROUNDDOWN($A$18/4,-3)*2.8-80000,"-")</f>
        <v>-</v>
      </c>
      <c r="K12" s="40" t="str">
        <f t="shared" si="1"/>
        <v>-</v>
      </c>
      <c r="L12" t="str">
        <f t="shared" si="10"/>
        <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f>IF(L13="✓",ROUNDDOWN($A$18/4,-3)*3.2-440000,"-")</f>
        <v>3400000</v>
      </c>
      <c r="K13" s="40">
        <f t="shared" si="1"/>
        <v>3400000</v>
      </c>
      <c r="L13" t="str">
        <f>IF($A$18&gt;=A13,IF($A$18&lt;A14,"✓",""),"")</f>
        <v>✓</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600000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3400000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960000</v>
      </c>
      <c r="AG17" s="14"/>
    </row>
    <row r="18" spans="1:33">
      <c r="A18" s="15">
        <f>総表!D18</f>
        <v>4800000</v>
      </c>
      <c r="D18" s="1">
        <f>VLOOKUP($A$18,$A$5:$K$15,4)</f>
        <v>4</v>
      </c>
      <c r="E18" s="1">
        <f>VLOOKUP($A$18,$A$5:$K$15,5)</f>
        <v>3.2</v>
      </c>
      <c r="F18" s="15">
        <f>VLOOKUP($A$18,$A$5:$K$15,6)</f>
        <v>-440000</v>
      </c>
      <c r="G18" s="15">
        <f>ROUNDDOWN((IF(D18=4,ROUNDDOWN(A18/4,-3),A18)*E18)+F18,0)</f>
        <v>3400000</v>
      </c>
      <c r="J18" s="14"/>
      <c r="K18" s="15">
        <f>VLOOKUP($A$18,$A$5:$K$15,11)</f>
        <v>3400000</v>
      </c>
      <c r="L18" s="15">
        <f>A18-K18</f>
        <v>1400000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4360000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49</v>
      </c>
      <c r="O21" s="55"/>
      <c r="P21" s="59"/>
      <c r="Q21" s="59"/>
      <c r="R21" s="59"/>
      <c r="S21" s="59"/>
      <c r="T21" s="59"/>
    </row>
    <row r="22" spans="1:33">
      <c r="F22" s="41" t="s">
        <v>99</v>
      </c>
      <c r="G22" s="15">
        <f>A18-G18</f>
        <v>1400000</v>
      </c>
      <c r="J22" s="14"/>
      <c r="K22" s="14"/>
      <c r="N22" s="47" t="s">
        <v>29</v>
      </c>
      <c r="O22" s="55"/>
      <c r="P22" s="59"/>
      <c r="Q22" s="47" t="s">
        <v>10</v>
      </c>
      <c r="R22" s="42" t="s">
        <v>104</v>
      </c>
      <c r="S22" s="42" t="s">
        <v>30</v>
      </c>
      <c r="T22" s="47" t="s">
        <v>31</v>
      </c>
      <c r="AC22" t="s">
        <v>122</v>
      </c>
      <c r="AE22" s="65"/>
    </row>
    <row r="23" spans="1:33">
      <c r="J23" s="14"/>
      <c r="K23" s="14"/>
      <c r="N23" s="61">
        <f>総表!D23</f>
        <v>1200000</v>
      </c>
      <c r="O23" s="55"/>
      <c r="P23" s="59"/>
      <c r="Q23" s="60">
        <f>VLOOKUP($N$23,IF($N$21&gt;=65,$N$6:$AA$10,$N$14:$AA$18),IF($N$25&lt;=10000000,4,IF($N$25&lt;=20000000,8,12)))</f>
        <v>1</v>
      </c>
      <c r="R23" s="61">
        <f>VLOOKUP($N$23,IF($N$21&gt;=65,$N$6:$AA$10,$N$14:$AA$18),IF($N$25&lt;=10000000,5,IF($N$25&lt;=20000000,9,13)))</f>
        <v>-600000</v>
      </c>
      <c r="S23" s="61">
        <f>ROUNDDOWN(IF($N$23*$Q$23+$R$23&gt;0,$N$23*$Q$23+$R$23,0),0)</f>
        <v>600000</v>
      </c>
      <c r="T23" s="61">
        <f>N23-S23</f>
        <v>600000</v>
      </c>
      <c r="AC23" t="s">
        <v>123</v>
      </c>
    </row>
    <row r="24" spans="1:33">
      <c r="M24" s="41"/>
      <c r="N24" s="47" t="s">
        <v>109</v>
      </c>
      <c r="O24" s="64" t="s">
        <v>117</v>
      </c>
      <c r="P24" s="59"/>
      <c r="Q24" s="55"/>
      <c r="R24" s="62"/>
      <c r="S24" s="62"/>
      <c r="T24" s="55"/>
      <c r="AC24" t="s">
        <v>124</v>
      </c>
    </row>
    <row r="25" spans="1:33">
      <c r="N25" s="61">
        <f>AE18</f>
        <v>4360000</v>
      </c>
      <c r="O25" s="55"/>
      <c r="P25" s="59"/>
      <c r="Q25" s="59"/>
      <c r="R25" s="63"/>
      <c r="S25" s="63"/>
      <c r="T25" s="63"/>
      <c r="AC25" t="s">
        <v>125</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row r="61" spans="1:1">
      <c r="A61" s="118">
        <v>45748</v>
      </c>
    </row>
    <row r="62" spans="1:1">
      <c r="A62" s="118">
        <v>45778</v>
      </c>
    </row>
    <row r="63" spans="1:1">
      <c r="A63" s="118">
        <v>45809</v>
      </c>
    </row>
    <row r="64" spans="1:1">
      <c r="A64" s="118">
        <v>45839</v>
      </c>
    </row>
    <row r="65" spans="1:1">
      <c r="A65" s="118">
        <v>45870</v>
      </c>
    </row>
    <row r="66" spans="1:1">
      <c r="A66" s="118">
        <v>45901</v>
      </c>
    </row>
    <row r="67" spans="1:1">
      <c r="A67" s="118">
        <v>45931</v>
      </c>
    </row>
    <row r="68" spans="1:1">
      <c r="A68" s="118">
        <v>45962</v>
      </c>
    </row>
    <row r="69" spans="1:1">
      <c r="A69" s="118">
        <v>45992</v>
      </c>
    </row>
    <row r="70" spans="1:1">
      <c r="A70" s="118">
        <v>46023</v>
      </c>
    </row>
    <row r="71" spans="1:1">
      <c r="A71" s="118">
        <v>46054</v>
      </c>
    </row>
    <row r="72" spans="1:1">
      <c r="A72" s="118">
        <v>46082</v>
      </c>
    </row>
    <row r="73" spans="1:1">
      <c r="A73" s="118">
        <v>46113</v>
      </c>
    </row>
    <row r="74" spans="1:1">
      <c r="A74" s="118">
        <v>46143</v>
      </c>
    </row>
    <row r="75" spans="1:1">
      <c r="A75" s="118">
        <v>46174</v>
      </c>
    </row>
    <row r="76" spans="1:1">
      <c r="A76" s="118">
        <v>46204</v>
      </c>
    </row>
    <row r="77" spans="1:1">
      <c r="A77" s="118">
        <v>46235</v>
      </c>
    </row>
    <row r="78" spans="1:1">
      <c r="A78" s="118">
        <v>46266</v>
      </c>
    </row>
    <row r="79" spans="1:1">
      <c r="A79" s="118">
        <v>46296</v>
      </c>
    </row>
    <row r="80" spans="1:1">
      <c r="A80" s="118">
        <v>46327</v>
      </c>
    </row>
    <row r="81" spans="1:1">
      <c r="A81" s="118">
        <v>46357</v>
      </c>
    </row>
    <row r="82" spans="1:1">
      <c r="A82" s="118">
        <v>46388</v>
      </c>
    </row>
    <row r="83" spans="1:1">
      <c r="A83" s="118">
        <v>46419</v>
      </c>
    </row>
    <row r="84" spans="1:1">
      <c r="A84" s="118">
        <v>46447</v>
      </c>
    </row>
    <row r="85" spans="1:1">
      <c r="A85" s="118">
        <v>46478</v>
      </c>
    </row>
    <row r="86" spans="1:1">
      <c r="A86" s="118">
        <v>46508</v>
      </c>
    </row>
    <row r="87" spans="1:1">
      <c r="A87" s="118">
        <v>46539</v>
      </c>
    </row>
    <row r="88" spans="1:1">
      <c r="A88" s="118">
        <v>46569</v>
      </c>
    </row>
    <row r="89" spans="1:1">
      <c r="A89" s="118">
        <v>46600</v>
      </c>
    </row>
    <row r="90" spans="1:1">
      <c r="A90" s="118">
        <v>46631</v>
      </c>
    </row>
    <row r="91" spans="1:1">
      <c r="A91" s="118">
        <v>46661</v>
      </c>
    </row>
    <row r="92" spans="1:1">
      <c r="A92" s="118">
        <v>46692</v>
      </c>
    </row>
    <row r="93" spans="1:1">
      <c r="A93" s="118">
        <v>46722</v>
      </c>
    </row>
    <row r="94" spans="1:1">
      <c r="A94" s="118">
        <v>46753</v>
      </c>
    </row>
    <row r="95" spans="1:1">
      <c r="A95" s="118">
        <v>46784</v>
      </c>
    </row>
    <row r="96" spans="1:1">
      <c r="A96" s="118">
        <v>46813</v>
      </c>
    </row>
    <row r="97" spans="1:1">
      <c r="A97" s="118">
        <v>46844</v>
      </c>
    </row>
    <row r="98" spans="1:1">
      <c r="A98" s="118">
        <v>46874</v>
      </c>
    </row>
    <row r="99" spans="1:1">
      <c r="A99" s="118">
        <v>46905</v>
      </c>
    </row>
    <row r="100" spans="1:1">
      <c r="A100" s="118">
        <v>46935</v>
      </c>
    </row>
    <row r="101" spans="1:1">
      <c r="A101" s="118">
        <v>46966</v>
      </c>
    </row>
    <row r="102" spans="1:1">
      <c r="A102" s="118">
        <v>46997</v>
      </c>
    </row>
    <row r="103" spans="1:1">
      <c r="A103" s="118">
        <v>47027</v>
      </c>
    </row>
    <row r="104" spans="1:1">
      <c r="A104" s="118">
        <v>47058</v>
      </c>
    </row>
    <row r="105" spans="1:1">
      <c r="A105" s="118">
        <v>47088</v>
      </c>
    </row>
    <row r="106" spans="1:1">
      <c r="A106" s="118">
        <v>47119</v>
      </c>
    </row>
    <row r="107" spans="1:1">
      <c r="A107" s="118">
        <v>47150</v>
      </c>
    </row>
    <row r="108" spans="1:1">
      <c r="A108" s="118">
        <v>47178</v>
      </c>
    </row>
    <row r="109" spans="1:1">
      <c r="A109" s="118">
        <v>47209</v>
      </c>
    </row>
    <row r="110" spans="1:1">
      <c r="A110" s="118">
        <v>47239</v>
      </c>
    </row>
    <row r="111" spans="1:1">
      <c r="A111" s="118">
        <v>47270</v>
      </c>
    </row>
    <row r="112" spans="1:1">
      <c r="A112" s="118">
        <v>47300</v>
      </c>
    </row>
    <row r="113" spans="1:1">
      <c r="A113" s="118">
        <v>47331</v>
      </c>
    </row>
    <row r="114" spans="1:1">
      <c r="A114" s="118">
        <v>47362</v>
      </c>
    </row>
    <row r="115" spans="1:1">
      <c r="A115" s="118">
        <v>47392</v>
      </c>
    </row>
    <row r="116" spans="1:1">
      <c r="A116" s="118">
        <v>47423</v>
      </c>
    </row>
    <row r="117" spans="1:1">
      <c r="A117" s="118">
        <v>47453</v>
      </c>
    </row>
    <row r="118" spans="1:1">
      <c r="A118" s="118">
        <v>47484</v>
      </c>
    </row>
    <row r="119" spans="1:1">
      <c r="A119" s="118">
        <v>47515</v>
      </c>
    </row>
    <row r="120" spans="1:1">
      <c r="A120" s="118">
        <v>47543</v>
      </c>
    </row>
  </sheetData>
  <sheetProtection algorithmName="SHA-512" hashValue="L14TB8KWNYk/tUgNcnDHqMNklysZrJ+coBmmrTovLJLk+YSKX3Y7d11gB3jgfZML05CBODSuDoGQeXgpendyNQ==" saltValue="ePgKQ2WMHKs3150MZIr38Q=="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2023-03-30T04:25:24Z</cp:lastPrinted>
  <dcterms:created xsi:type="dcterms:W3CDTF">2022-09-14T02:00:15Z</dcterms:created>
  <dcterms:modified xsi:type="dcterms:W3CDTF">2024-12-24T00:44:55Z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